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参数假设" sheetId="1" r:id="rId1"/>
    <sheet name="计算明细" sheetId="2" r:id="rId2"/>
    <sheet name="主体横向对比" sheetId="3" r:id="rId3"/>
    <sheet name="一人公司测算（公司化方案）" sheetId="4" r:id="rId4"/>
    <sheet name="逻辑校验" sheetId="5" r:id="rId5"/>
  </sheets>
  <definedNames>
    <definedName name="_xlnm._FilterDatabase" localSheetId="1" hidden="1">计算明细!$A$3:$AI$8</definedName>
    <definedName name="_xlnm._FilterDatabase" localSheetId="2" hidden="1">主体横向对比!$A$4:$L$8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<sst xmlns="http://schemas.openxmlformats.org/spreadsheetml/2006/main" count="192" uniqueCount="166">
  <si>
    <t>参数假设：全表唯一输入入口</t>
  </si>
  <si>
    <t>一、原表输入拆分</t>
  </si>
  <si>
    <t>项目</t>
  </si>
  <si>
    <t>值</t>
  </si>
  <si>
    <t>说明</t>
  </si>
  <si>
    <t>年总收入（含税/收款口径）</t>
  </si>
  <si>
    <t>来自原表：对比测算!B2 / 一人公司测算!B3</t>
  </si>
  <si>
    <t>原表总支出（混合口径）</t>
  </si>
  <si>
    <t>原表 B3，包含社保公积金、租房和其他支出</t>
  </si>
  <si>
    <t>个人社保公积金现金支出</t>
  </si>
  <si>
    <t>来自原表 B4；是否全为个人可扣除项需人工确认</t>
  </si>
  <si>
    <t>个人住房租金实际支出</t>
  </si>
  <si>
    <t>来自原表 B5</t>
  </si>
  <si>
    <t>推导可入账经营成本</t>
  </si>
  <si>
    <t>用于个人收款/个体户/个人独资主对比；避免把个人支出当经营成本重复扣除</t>
  </si>
  <si>
    <t>基本减除费用</t>
  </si>
  <si>
    <t>用于综合所得或经营所得；若已有其他综合所得，不能重复使用</t>
  </si>
  <si>
    <t>住房租金专项附加扣除上限</t>
  </si>
  <si>
    <t>当前按 1500 元/月示例，可按城市政策调整</t>
  </si>
  <si>
    <t>是否已有综合所得并占用扣除</t>
  </si>
  <si>
    <t>否</t>
  </si>
  <si>
    <t>填“是”时，基本减除、社保公积金、租金扣除不再在本模型重复使用</t>
  </si>
  <si>
    <t>可用基本扣除</t>
  </si>
  <si>
    <t>可用租房扣除</t>
  </si>
  <si>
    <t>可用社保公积金扣除</t>
  </si>
  <si>
    <t>二、开票与 VAT 假设</t>
  </si>
  <si>
    <t>需开专票收入（含税）</t>
  </si>
  <si>
    <t>默认取原一人公司表 B4；用于个体户、个人独资、一人公司开票税费测算</t>
  </si>
  <si>
    <t>小规模增值税征收率</t>
  </si>
  <si>
    <t>附加税率（减免后）</t>
  </si>
  <si>
    <t>示例按城市维护建设税等附加减免后 6% 处理；建议按城市和政策年度更新</t>
  </si>
  <si>
    <t>专票不含税收入</t>
  </si>
  <si>
    <t>应交增值税</t>
  </si>
  <si>
    <t>附加税费</t>
  </si>
  <si>
    <t>VAT 及附加合计</t>
  </si>
  <si>
    <t>三、一人公司独立模型参数</t>
  </si>
  <si>
    <t>一人公司合规业务成本</t>
  </si>
  <si>
    <t>来自原一人公司表 B5；不强行等同主对比推导经营成本</t>
  </si>
  <si>
    <t>目标月工资</t>
  </si>
  <si>
    <t>来自原一人公司表 B6</t>
  </si>
  <si>
    <t>社保缴费基数</t>
  </si>
  <si>
    <t>来自原一人公司表 B7</t>
  </si>
  <si>
    <t>公司社保率</t>
  </si>
  <si>
    <t>原表硬编码参数，建议按城市/年度拆成明细</t>
  </si>
  <si>
    <t>个人社保率</t>
  </si>
  <si>
    <t>公积金缴纳比例</t>
  </si>
  <si>
    <t>来自原一人公司表 B8</t>
  </si>
  <si>
    <t>企业所得税率</t>
  </si>
  <si>
    <t>按小型微利企业有效税率示例；不满足条件时需改为适用税率</t>
  </si>
  <si>
    <t>分红个税率</t>
  </si>
  <si>
    <t>居民个人股息红利常用 20% 口径</t>
  </si>
  <si>
    <t>分红比例</t>
  </si>
  <si>
    <t>默认税后利润全部分红，可改为 0~100%</t>
  </si>
  <si>
    <t>计算明细：把税费、社保、公积金和现金流拆开</t>
  </si>
  <si>
    <t>主体</t>
  </si>
  <si>
    <t>含税收入</t>
  </si>
  <si>
    <t>专票含税</t>
  </si>
  <si>
    <t>增值税</t>
  </si>
  <si>
    <t>附加税</t>
  </si>
  <si>
    <t>不含税收入</t>
  </si>
  <si>
    <t>经营/公司成本</t>
  </si>
  <si>
    <t>个人社保公积金支出</t>
  </si>
  <si>
    <t>个人租房支出</t>
  </si>
  <si>
    <t>可用社保扣除</t>
  </si>
  <si>
    <t>综合/工资应税所得</t>
  </si>
  <si>
    <t>经营应税所得</t>
  </si>
  <si>
    <t>综合/工资个税</t>
  </si>
  <si>
    <t>经营全额个税</t>
  </si>
  <si>
    <t>个体户减免</t>
  </si>
  <si>
    <t>经营个税</t>
  </si>
  <si>
    <t>月工资</t>
  </si>
  <si>
    <t>公司社保</t>
  </si>
  <si>
    <t>个人社保</t>
  </si>
  <si>
    <t>公司公积金</t>
  </si>
  <si>
    <t>个人公积金</t>
  </si>
  <si>
    <t>公司税前利润</t>
  </si>
  <si>
    <t>企业所得税</t>
  </si>
  <si>
    <t>公司税后利润</t>
  </si>
  <si>
    <t>分红个税</t>
  </si>
  <si>
    <t>所得税合计</t>
  </si>
  <si>
    <t>开票税费</t>
  </si>
  <si>
    <t>公司承担强制缴费</t>
  </si>
  <si>
    <t>税后现金未扣租房</t>
  </si>
  <si>
    <t>扣租房后现金结余</t>
  </si>
  <si>
    <t>公积金账户</t>
  </si>
  <si>
    <t>现金结余+公积金</t>
  </si>
  <si>
    <t>备注</t>
  </si>
  <si>
    <t>个人劳务收款</t>
  </si>
  <si>
    <t>按劳务报酬并入综合所得；个人业务成本不能按实际全额税前扣</t>
  </si>
  <si>
    <t>个体工商户</t>
  </si>
  <si>
    <t>按经营所得；200 万以内部分按个体户优惠减半示例</t>
  </si>
  <si>
    <t>个人独资企业</t>
  </si>
  <si>
    <t>按经营所得；未套用个体户减半优惠</t>
  </si>
  <si>
    <t>一人有限公司</t>
  </si>
  <si>
    <t>独立公司化模型：工资 + 社保公积金 + 企业所得税 + 分红</t>
  </si>
  <si>
    <t>主体横向对比：同一输入假设下的可比结果</t>
  </si>
  <si>
    <t>说明：一人公司采用独立公司化模型引用，不把原表“支出”强行等同为公司成本；现金与公积金分开展示。</t>
  </si>
  <si>
    <t>模型口径</t>
  </si>
  <si>
    <t>年收入</t>
  </si>
  <si>
    <t>成本</t>
  </si>
  <si>
    <t>公司强制缴费</t>
  </si>
  <si>
    <t>扣租房后现金</t>
  </si>
  <si>
    <t>现金+公积金</t>
  </si>
  <si>
    <t>一人公司测算：公司化方案独立模型</t>
  </si>
  <si>
    <t>输入变量</t>
  </si>
  <si>
    <t>与主对比收入一致</t>
  </si>
  <si>
    <t>其中专票收入（含税）</t>
  </si>
  <si>
    <t>用于计算增值税及附加</t>
  </si>
  <si>
    <t>年合规业务成本</t>
  </si>
  <si>
    <t>独立模型参数，不等同主表拆分经营成本</t>
  </si>
  <si>
    <t>可与最高发薪上限对照</t>
  </si>
  <si>
    <t>建议按年度和城市更新</t>
  </si>
  <si>
    <t>公积金比例</t>
  </si>
  <si>
    <t>建议加上下限校验</t>
  </si>
  <si>
    <t>默认全部分红，可调</t>
  </si>
  <si>
    <t>自动计算结果</t>
  </si>
  <si>
    <t>含税专票收入换算</t>
  </si>
  <si>
    <t>增值税单列，避免混入企业所得税利润口径</t>
  </si>
  <si>
    <t>作为税金及附加影响公司利润</t>
  </si>
  <si>
    <t>年社保支出（公司）</t>
  </si>
  <si>
    <t>公司承担</t>
  </si>
  <si>
    <t>年社保支出（个人）</t>
  </si>
  <si>
    <t>个人工资扣款</t>
  </si>
  <si>
    <t>年公积金支出（公司）</t>
  </si>
  <si>
    <t>年公积金支出（个人）</t>
  </si>
  <si>
    <t>已按不含税收入与附加税拆分</t>
  </si>
  <si>
    <t>已加 MAX(0, ...) 避免负税</t>
  </si>
  <si>
    <t>为负时不应分红</t>
  </si>
  <si>
    <t>已加 MAX(0, ...) 避免负分红税</t>
  </si>
  <si>
    <t>工资个税应纳税所得额</t>
  </si>
  <si>
    <t>已纳入可用租房专项附加扣除</t>
  </si>
  <si>
    <t>工资个人所得税</t>
  </si>
  <si>
    <t>综合所得税率</t>
  </si>
  <si>
    <t>税后工资现金</t>
  </si>
  <si>
    <t>未扣个人租房现金支出</t>
  </si>
  <si>
    <t>税后分红现金</t>
  </si>
  <si>
    <t>按分红比例计算</t>
  </si>
  <si>
    <t>现金到手（未扣租房）</t>
  </si>
  <si>
    <t>工资现金 + 税后分红</t>
  </si>
  <si>
    <t>与主对比现金结余同口径</t>
  </si>
  <si>
    <t>公司+个人公积金</t>
  </si>
  <si>
    <t>用于资产口径参考</t>
  </si>
  <si>
    <t>最高发薪上限</t>
  </si>
  <si>
    <t>使公司利润尽量不为负的粗略上限</t>
  </si>
  <si>
    <t>目标工资校验</t>
  </si>
  <si>
    <t>目标工资不宜超过上限</t>
  </si>
  <si>
    <t>逻辑校验：哪些地方不能直接同口径比较</t>
  </si>
  <si>
    <t>校验项</t>
  </si>
  <si>
    <t>结果</t>
  </si>
  <si>
    <t>当前情况</t>
  </si>
  <si>
    <t>建议处理</t>
  </si>
  <si>
    <t>主对比支出口径拆分</t>
  </si>
  <si>
    <t>主对比用推导经营成本；个人社保/租房单独处理</t>
  </si>
  <si>
    <t>一人公司成本是否同口径</t>
  </si>
  <si>
    <t>一人公司只做独立方案引用，不强行并入简单支出列</t>
  </si>
  <si>
    <t>专票收入不超过总收入</t>
  </si>
  <si>
    <t>若专票收入超过年收入，调整参数</t>
  </si>
  <si>
    <t>扣除项是否重复使用</t>
  </si>
  <si>
    <t>若已有工资薪金等综合所得，经营所得不要重复扣 60000 和专项附加</t>
  </si>
  <si>
    <t>若为负，降低工资、降低成本或确认是否需要股东补足资金</t>
  </si>
  <si>
    <t>目标工资上限</t>
  </si>
  <si>
    <t>目标工资超过上限时，不应继续用原公式生成负税或负利润</t>
  </si>
  <si>
    <t>企业所得税负数风险</t>
  </si>
  <si>
    <t>企业所得税公式使用 MAX(0, 税前利润×税率)</t>
  </si>
  <si>
    <t>分红个税负数风险</t>
  </si>
  <si>
    <t>分红个税只对正的可分配利润和实际分红比例计算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</si>
</sst>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rgb="FF20242B"/>
      <name val="宋体"/>
      <charset val="134"/>
      <scheme val="minor"/>
    </font>
    <font>
      <b/>
      <sz val="11"/>
      <color rgb="FF20242B"/>
      <name val="宋体"/>
      <charset val="134"/>
      <scheme val="minor"/>
    </font>
    <font>
      <sz val="11"/>
      <color rgb="FF20242B"/>
      <name val="宋体"/>
      <charset val="134"/>
      <scheme val="minor"/>
    </font>
    <font>
      <sz val="10"/>
      <color rgb="FF657083"/>
      <name val="宋体"/>
      <charset val="134"/>
      <scheme val="minor"/>
    </font>
    <font>
      <b/>
      <sz val="12"/>
      <color rgb="FFFFFFFF"/>
      <name val="宋体"/>
      <charset val="134"/>
      <scheme val="minor"/>
    </font>
    <font>
      <b/>
      <sz val="11"/>
      <color rgb="FF22895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DF1F7"/>
        <bgColor indexed="64"/>
      </patternFill>
    </fill>
    <fill>
      <patternFill patternType="solid">
        <fgColor rgb="FF2364C7"/>
        <bgColor indexed="64"/>
      </patternFill>
    </fill>
    <fill>
      <patternFill patternType="solid">
        <fgColor rgb="FFFFF6E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8" fillId="7" borderId="5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0" xfId="0" applyFont="1" applyAlignment="1">
      <alignment vertical="top" wrapText="1"/>
    </xf>
    <xf numFmtId="0" fontId="5" fillId="3" borderId="0" xfId="0" applyFont="1" applyFill="1"/>
    <xf numFmtId="4" fontId="0" fillId="0" borderId="1" xfId="0" applyNumberFormat="1" applyBorder="1" applyAlignment="1">
      <alignment vertical="center"/>
    </xf>
    <xf numFmtId="10" fontId="0" fillId="0" borderId="1" xfId="0" applyNumberFormat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4" fontId="0" fillId="4" borderId="1" xfId="0" applyNumberForma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228953"/>
      </font>
      <fill>
        <patternFill patternType="solid">
          <bgColor rgb="FFE8F7E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BF4141"/>
      </font>
      <fill>
        <patternFill patternType="solid">
          <bgColor rgb="FFFFF0F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主体结果对比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"扣租房后现金结余"</c:f>
              <c:strCache>
                <c:ptCount val="1"/>
                <c:pt idx="0">
                  <c:v>扣租房后现金结余</c:v>
                </c:pt>
              </c:strCache>
            </c:strRef>
          </c:tx>
          <c:spPr>
            <a:solidFill>
              <a:srgbClr val="3B82F6"/>
            </a:solidFill>
          </c:spPr>
          <c:invertIfNegative val="0"/>
          <c:dLbls>
            <c:delete val="1"/>
          </c:dLbls>
          <c:cat>
            <c:strRef>
              <c:f>主体横向对比!$A$5:$A$8</c:f>
              <c:strCache>
                <c:ptCount val="4"/>
                <c:pt idx="0">
                  <c:v>个人劳务收款</c:v>
                </c:pt>
                <c:pt idx="1">
                  <c:v>个体工商户</c:v>
                </c:pt>
                <c:pt idx="2">
                  <c:v>个人独资企业</c:v>
                </c:pt>
                <c:pt idx="3">
                  <c:v>一人有限公司</c:v>
                </c:pt>
              </c:strCache>
            </c:strRef>
          </c:cat>
          <c:val>
            <c:numRef>
              <c:f>主体横向对比!$I$5:$I$8</c:f>
              <c:numCache>
                <c:formatCode>#,##0.00</c:formatCode>
                <c:ptCount val="4"/>
                <c:pt idx="0">
                  <c:v>2087420</c:v>
                </c:pt>
                <c:pt idx="1">
                  <c:v>2316126.03960396</c:v>
                </c:pt>
                <c:pt idx="2">
                  <c:v>1998876.03960396</c:v>
                </c:pt>
                <c:pt idx="3">
                  <c:v>2202512.88715786</c:v>
                </c:pt>
              </c:numCache>
            </c:numRef>
          </c:val>
        </c:ser>
        <c:ser>
          <c:idx val="1"/>
          <c:order val="1"/>
          <c:tx>
            <c:strRef>
              <c:f>"现金+公积金"</c:f>
              <c:strCache>
                <c:ptCount val="1"/>
                <c:pt idx="0">
                  <c:v>现金+公积金</c:v>
                </c:pt>
              </c:strCache>
            </c:strRef>
          </c:tx>
          <c:spPr>
            <a:solidFill>
              <a:srgbClr val="14A06F"/>
            </a:solidFill>
          </c:spPr>
          <c:invertIfNegative val="0"/>
          <c:dLbls>
            <c:delete val="1"/>
          </c:dLbls>
          <c:cat>
            <c:strRef>
              <c:f>主体横向对比!$A$5:$A$8</c:f>
              <c:strCache>
                <c:ptCount val="4"/>
                <c:pt idx="0">
                  <c:v>个人劳务收款</c:v>
                </c:pt>
                <c:pt idx="1">
                  <c:v>个体工商户</c:v>
                </c:pt>
                <c:pt idx="2">
                  <c:v>个人独资企业</c:v>
                </c:pt>
                <c:pt idx="3">
                  <c:v>一人有限公司</c:v>
                </c:pt>
              </c:strCache>
            </c:strRef>
          </c:cat>
          <c:val>
            <c:numRef>
              <c:f>主体横向对比!$K$5:$K$8</c:f>
              <c:numCache>
                <c:formatCode>#,##0.00</c:formatCode>
                <c:ptCount val="4"/>
                <c:pt idx="0">
                  <c:v>2087420</c:v>
                </c:pt>
                <c:pt idx="1">
                  <c:v>2316126.03960396</c:v>
                </c:pt>
                <c:pt idx="2">
                  <c:v>1998876.03960396</c:v>
                </c:pt>
                <c:pt idx="3">
                  <c:v>2219922.48715786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010001"/>
        <c:axId val="50010002"/>
      </c:barChart>
      <c:catAx>
        <c:axId val="5001000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50010002"/>
        <c:crosses val="autoZero"/>
        <c:auto val="1"/>
        <c:lblAlgn val="ctr"/>
        <c:lblOffset val="100"/>
        <c:noMultiLvlLbl val="0"/>
      </c:catAx>
      <c:valAx>
        <c:axId val="50010002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50010001"/>
        <c:crosses val="autoZero"/>
        <c:crossBetween val="between"/>
      </c:valAx>
    </c:plotArea>
    <c:legend>
      <c:legendPos val="b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e3585d80-888e-4e07-85bc-851a5218030d}"/>
      </c:ext>
    </c:extLst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10</xdr:row>
      <xdr:rowOff>0</xdr:rowOff>
    </xdr:from>
    <xdr:to>
      <xdr:col>6</xdr:col>
      <xdr:colOff>419100</xdr:colOff>
      <xdr:row>29</xdr:row>
      <xdr:rowOff>85725</xdr:rowOff>
    </xdr:to>
    <xdr:graphicFrame>
      <xdr:nvGraphicFramePr>
        <xdr:cNvPr id="2" name="Chart 1"/>
        <xdr:cNvGraphicFramePr/>
      </xdr:nvGraphicFramePr>
      <xdr:xfrm>
        <a:off x="0" y="1927860"/>
        <a:ext cx="10241915" cy="35604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tabSelected="1" workbookViewId="0">
      <pane ySplit="3" topLeftCell="A4" activePane="bottomLeft" state="frozen"/>
      <selection/>
      <selection pane="bottomLeft" activeCell="H32" sqref="H32"/>
    </sheetView>
  </sheetViews>
  <sheetFormatPr defaultColWidth="9" defaultRowHeight="14.4" outlineLevelCol="2"/>
  <cols>
    <col min="1" max="1" width="30.712962962963" customWidth="1"/>
    <col min="2" max="2" width="18.712962962963" customWidth="1"/>
    <col min="3" max="3" width="58.712962962963" customWidth="1"/>
  </cols>
  <sheetData>
    <row r="1" ht="22.2" spans="1:3">
      <c r="A1" s="1" t="s">
        <v>0</v>
      </c>
      <c r="B1" s="1"/>
      <c r="C1" s="1"/>
    </row>
    <row r="3" ht="15.6" spans="1:3">
      <c r="A3" s="6" t="s">
        <v>1</v>
      </c>
    </row>
    <row r="4" spans="1:3">
      <c r="A4" s="2" t="s">
        <v>2</v>
      </c>
      <c r="B4" s="2" t="s">
        <v>3</v>
      </c>
      <c r="C4" s="2" t="s">
        <v>4</v>
      </c>
    </row>
    <row r="5" spans="1:3">
      <c r="A5" s="3" t="s">
        <v>5</v>
      </c>
      <c r="B5" s="10">
        <v>3000000</v>
      </c>
      <c r="C5" s="5" t="s">
        <v>6</v>
      </c>
    </row>
    <row r="6" spans="1:3">
      <c r="A6" s="3" t="s">
        <v>7</v>
      </c>
      <c r="B6" s="10">
        <v>55000</v>
      </c>
      <c r="C6" s="5" t="s">
        <v>8</v>
      </c>
    </row>
    <row r="7" spans="1:3">
      <c r="A7" s="3" t="s">
        <v>9</v>
      </c>
      <c r="B7" s="10">
        <v>12000</v>
      </c>
      <c r="C7" s="5" t="s">
        <v>10</v>
      </c>
    </row>
    <row r="8" spans="1:3">
      <c r="A8" s="3" t="s">
        <v>11</v>
      </c>
      <c r="B8" s="10">
        <v>21600</v>
      </c>
      <c r="C8" s="5" t="s">
        <v>12</v>
      </c>
    </row>
    <row r="9" ht="24" spans="1:3">
      <c r="A9" s="3" t="s">
        <v>13</v>
      </c>
      <c r="B9" s="7">
        <f>MAX(0,B6-B7-B8)</f>
        <v>21400</v>
      </c>
      <c r="C9" s="5" t="s">
        <v>14</v>
      </c>
    </row>
    <row r="10" spans="1:3">
      <c r="A10" s="3" t="s">
        <v>15</v>
      </c>
      <c r="B10" s="10">
        <v>60000</v>
      </c>
      <c r="C10" s="5" t="s">
        <v>16</v>
      </c>
    </row>
    <row r="11" spans="1:3">
      <c r="A11" s="3" t="s">
        <v>17</v>
      </c>
      <c r="B11" s="10">
        <v>18000</v>
      </c>
      <c r="C11" s="5" t="s">
        <v>18</v>
      </c>
    </row>
    <row r="12" ht="24" spans="1:3">
      <c r="A12" s="3" t="s">
        <v>19</v>
      </c>
      <c r="B12" s="10" t="s">
        <v>20</v>
      </c>
      <c r="C12" s="5" t="s">
        <v>21</v>
      </c>
    </row>
    <row r="13" spans="1:3">
      <c r="A13" s="3" t="s">
        <v>22</v>
      </c>
      <c r="B13" s="7">
        <f>IF(B12="是",0,B10)</f>
        <v>60000</v>
      </c>
    </row>
    <row r="14" spans="1:3">
      <c r="A14" s="3" t="s">
        <v>23</v>
      </c>
      <c r="B14" s="7">
        <f>IF(B12="是",0,MIN(B8,B11))</f>
        <v>18000</v>
      </c>
    </row>
    <row r="15" spans="1:3">
      <c r="A15" s="3" t="s">
        <v>24</v>
      </c>
      <c r="B15" s="7">
        <f>IF(B12="是",0,B7)</f>
        <v>12000</v>
      </c>
    </row>
    <row r="17" ht="15.6" spans="1:3">
      <c r="A17" s="6" t="s">
        <v>25</v>
      </c>
    </row>
    <row r="18" ht="24" spans="1:3">
      <c r="A18" s="3" t="s">
        <v>26</v>
      </c>
      <c r="B18" s="10">
        <v>90000</v>
      </c>
      <c r="C18" s="5" t="s">
        <v>27</v>
      </c>
    </row>
    <row r="19" spans="1:3">
      <c r="A19" s="3" t="s">
        <v>28</v>
      </c>
      <c r="B19" s="8">
        <v>0.01</v>
      </c>
    </row>
    <row r="20" ht="24" spans="1:3">
      <c r="A20" s="3" t="s">
        <v>29</v>
      </c>
      <c r="B20" s="8">
        <v>0.06</v>
      </c>
      <c r="C20" s="5" t="s">
        <v>30</v>
      </c>
    </row>
    <row r="21" spans="1:3">
      <c r="A21" s="3" t="s">
        <v>31</v>
      </c>
      <c r="B21" s="7">
        <f>B18/(1+B19)</f>
        <v>89108.9108910891</v>
      </c>
    </row>
    <row r="22" spans="1:3">
      <c r="A22" s="3" t="s">
        <v>32</v>
      </c>
      <c r="B22" s="7">
        <f>B21*B19</f>
        <v>891.089108910891</v>
      </c>
    </row>
    <row r="23" spans="1:3">
      <c r="A23" s="3" t="s">
        <v>33</v>
      </c>
      <c r="B23" s="7">
        <f>B22*B20</f>
        <v>53.4653465346535</v>
      </c>
    </row>
    <row r="24" spans="1:3">
      <c r="A24" s="3" t="s">
        <v>34</v>
      </c>
      <c r="B24" s="7">
        <f>B22+B23</f>
        <v>944.554455445545</v>
      </c>
    </row>
    <row r="26" ht="15.6" spans="1:3">
      <c r="A26" s="6" t="s">
        <v>35</v>
      </c>
    </row>
    <row r="27" spans="1:3">
      <c r="A27" s="3" t="s">
        <v>36</v>
      </c>
      <c r="B27" s="10">
        <v>55000</v>
      </c>
      <c r="C27" s="5" t="s">
        <v>37</v>
      </c>
    </row>
    <row r="28" spans="1:3">
      <c r="A28" s="3" t="s">
        <v>38</v>
      </c>
      <c r="B28" s="10">
        <v>6045</v>
      </c>
      <c r="C28" s="5" t="s">
        <v>39</v>
      </c>
    </row>
    <row r="29" spans="1:3">
      <c r="A29" s="3" t="s">
        <v>40</v>
      </c>
      <c r="B29" s="10">
        <v>4588</v>
      </c>
      <c r="C29" s="5" t="s">
        <v>41</v>
      </c>
    </row>
    <row r="30" spans="1:3">
      <c r="A30" s="3" t="s">
        <v>42</v>
      </c>
      <c r="B30" s="8">
        <v>0.2326</v>
      </c>
      <c r="C30" s="5" t="s">
        <v>43</v>
      </c>
    </row>
    <row r="31" spans="1:3">
      <c r="A31" s="3" t="s">
        <v>44</v>
      </c>
      <c r="B31" s="8">
        <v>0.104</v>
      </c>
      <c r="C31" s="5" t="s">
        <v>43</v>
      </c>
    </row>
    <row r="32" spans="1:3">
      <c r="A32" s="3" t="s">
        <v>45</v>
      </c>
      <c r="B32" s="8">
        <v>0.12</v>
      </c>
      <c r="C32" s="5" t="s">
        <v>46</v>
      </c>
    </row>
    <row r="33" spans="1:3">
      <c r="A33" s="3" t="s">
        <v>47</v>
      </c>
      <c r="B33" s="8">
        <v>0.05</v>
      </c>
      <c r="C33" s="5" t="s">
        <v>48</v>
      </c>
    </row>
    <row r="34" spans="1:3">
      <c r="A34" s="3" t="s">
        <v>49</v>
      </c>
      <c r="B34" s="8">
        <v>0.2</v>
      </c>
      <c r="C34" s="5" t="s">
        <v>50</v>
      </c>
    </row>
    <row r="35" spans="1:3">
      <c r="A35" s="3" t="s">
        <v>51</v>
      </c>
      <c r="B35" s="8">
        <v>1</v>
      </c>
      <c r="C35" s="5" t="s">
        <v>52</v>
      </c>
    </row>
  </sheetData>
  <mergeCells count="1">
    <mergeCell ref="A1:C1"/>
  </mergeCells>
  <dataValidations count="3">
    <dataValidation type="list" allowBlank="1" showInputMessage="1" showErrorMessage="1" sqref="B12">
      <formula1>"否,是"</formula1>
    </dataValidation>
    <dataValidation type="decimal" operator="between" allowBlank="1" showInputMessage="1" showErrorMessage="1" sqref="B32">
      <formula1>0.05</formula1>
      <formula2>0.12</formula2>
    </dataValidation>
    <dataValidation type="decimal" operator="between" allowBlank="1" showInputMessage="1" showErrorMessage="1" sqref="B35">
      <formula1>0</formula1>
      <formula2>1</formula2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8"/>
  <sheetViews>
    <sheetView workbookViewId="0">
      <pane xSplit="1" ySplit="4" topLeftCell="B5" activePane="bottomRight" state="frozen"/>
      <selection/>
      <selection pane="topRight"/>
      <selection pane="bottomLeft"/>
      <selection pane="bottomRight" activeCell="Z16" sqref="Z16"/>
    </sheetView>
  </sheetViews>
  <sheetFormatPr defaultColWidth="9" defaultRowHeight="14.4" outlineLevelRow="7"/>
  <cols>
    <col min="1" max="1" width="16.712962962963" customWidth="1"/>
    <col min="2" max="34" width="15.712962962963" customWidth="1"/>
    <col min="35" max="35" width="34.712962962963" customWidth="1"/>
  </cols>
  <sheetData>
    <row r="1" ht="22.2" spans="1:35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>
      <c r="A3" s="2" t="s">
        <v>54</v>
      </c>
      <c r="B3" s="2" t="s">
        <v>55</v>
      </c>
      <c r="C3" s="2" t="s">
        <v>56</v>
      </c>
      <c r="D3" s="2" t="s">
        <v>57</v>
      </c>
      <c r="E3" s="2" t="s">
        <v>58</v>
      </c>
      <c r="F3" s="2" t="s">
        <v>59</v>
      </c>
      <c r="G3" s="2" t="s">
        <v>60</v>
      </c>
      <c r="H3" s="2" t="s">
        <v>61</v>
      </c>
      <c r="I3" s="2" t="s">
        <v>62</v>
      </c>
      <c r="J3" s="2" t="s">
        <v>22</v>
      </c>
      <c r="K3" s="2" t="s">
        <v>63</v>
      </c>
      <c r="L3" s="2" t="s">
        <v>23</v>
      </c>
      <c r="M3" s="2" t="s">
        <v>64</v>
      </c>
      <c r="N3" s="2" t="s">
        <v>65</v>
      </c>
      <c r="O3" s="2" t="s">
        <v>66</v>
      </c>
      <c r="P3" s="2" t="s">
        <v>67</v>
      </c>
      <c r="Q3" s="2" t="s">
        <v>68</v>
      </c>
      <c r="R3" s="2" t="s">
        <v>69</v>
      </c>
      <c r="S3" s="2" t="s">
        <v>70</v>
      </c>
      <c r="T3" s="2" t="s">
        <v>71</v>
      </c>
      <c r="U3" s="2" t="s">
        <v>72</v>
      </c>
      <c r="V3" s="2" t="s">
        <v>73</v>
      </c>
      <c r="W3" s="2" t="s">
        <v>74</v>
      </c>
      <c r="X3" s="2" t="s">
        <v>75</v>
      </c>
      <c r="Y3" s="2" t="s">
        <v>76</v>
      </c>
      <c r="Z3" s="2" t="s">
        <v>77</v>
      </c>
      <c r="AA3" s="2" t="s">
        <v>78</v>
      </c>
      <c r="AB3" s="2" t="s">
        <v>79</v>
      </c>
      <c r="AC3" s="2" t="s">
        <v>80</v>
      </c>
      <c r="AD3" s="2" t="s">
        <v>81</v>
      </c>
      <c r="AE3" s="2" t="s">
        <v>82</v>
      </c>
      <c r="AF3" s="2" t="s">
        <v>83</v>
      </c>
      <c r="AG3" s="2" t="s">
        <v>84</v>
      </c>
      <c r="AH3" s="2" t="s">
        <v>85</v>
      </c>
      <c r="AI3" s="2" t="s">
        <v>86</v>
      </c>
    </row>
    <row r="5" ht="24" spans="1:35">
      <c r="A5" s="4" t="s">
        <v>87</v>
      </c>
      <c r="B5" s="7">
        <f>参数假设!$B$5</f>
        <v>3000000</v>
      </c>
      <c r="C5" s="7">
        <f>0</f>
        <v>0</v>
      </c>
      <c r="D5" s="7">
        <f>C5/(1+参数假设!$B$19)*参数假设!$B$19</f>
        <v>0</v>
      </c>
      <c r="E5" s="7">
        <f>D5*参数假设!$B$20</f>
        <v>0</v>
      </c>
      <c r="F5" s="7">
        <f>B5-D5</f>
        <v>3000000</v>
      </c>
      <c r="G5" s="7">
        <f>参数假设!$B$9</f>
        <v>21400</v>
      </c>
      <c r="H5" s="7">
        <f>参数假设!$B$7</f>
        <v>12000</v>
      </c>
      <c r="I5" s="7">
        <f>参数假设!$B$8</f>
        <v>21600</v>
      </c>
      <c r="J5" s="7">
        <f>参数假设!$B$13</f>
        <v>60000</v>
      </c>
      <c r="K5" s="7">
        <f>参数假设!$B$15</f>
        <v>12000</v>
      </c>
      <c r="L5" s="7">
        <f>参数假设!$B$14</f>
        <v>18000</v>
      </c>
      <c r="M5" s="7">
        <f>MAX(0,B5*0.8-J5-K5-L5)</f>
        <v>2310000</v>
      </c>
      <c r="N5" s="7">
        <f>0</f>
        <v>0</v>
      </c>
      <c r="O5" s="7">
        <f>IF(M5&lt;=0,0,IF(M5&lt;=36000,M5*0.03,IF(M5&lt;=144000,M5*0.1-2520,IF(M5&lt;=300000,M5*0.2-16920,IF(M5&lt;=420000,M5*0.25-31920,IF(M5&lt;=660000,M5*0.3-52920,IF(M5&lt;=960000,M5*0.35-85920,M5*0.45-181920)))))))</f>
        <v>857580</v>
      </c>
      <c r="P5" s="7">
        <f>IF(N5&lt;=0,0,IF(N5&lt;=30000,N5*0.05,IF(N5&lt;=90000,N5*0.1-1500,IF(N5&lt;=300000,N5*0.2-10500,IF(N5&lt;=500000,N5*0.3-40500,N5*0.35-65500)))))</f>
        <v>0</v>
      </c>
      <c r="Q5" s="7">
        <f>0</f>
        <v>0</v>
      </c>
      <c r="R5" s="7">
        <f>P5-Q5</f>
        <v>0</v>
      </c>
      <c r="S5" s="7">
        <f t="shared" ref="S5:AA5" si="0">0</f>
        <v>0</v>
      </c>
      <c r="T5" s="7">
        <f t="shared" si="0"/>
        <v>0</v>
      </c>
      <c r="U5" s="7">
        <f t="shared" si="0"/>
        <v>0</v>
      </c>
      <c r="V5" s="7">
        <f t="shared" si="0"/>
        <v>0</v>
      </c>
      <c r="W5" s="7">
        <f t="shared" si="0"/>
        <v>0</v>
      </c>
      <c r="X5" s="7">
        <f t="shared" si="0"/>
        <v>0</v>
      </c>
      <c r="Y5" s="7">
        <f t="shared" si="0"/>
        <v>0</v>
      </c>
      <c r="Z5" s="7">
        <f t="shared" si="0"/>
        <v>0</v>
      </c>
      <c r="AA5" s="7">
        <f t="shared" si="0"/>
        <v>0</v>
      </c>
      <c r="AB5" s="7">
        <f>O5+R5+Y5+AA5</f>
        <v>857580</v>
      </c>
      <c r="AC5" s="7">
        <f>D5+E5</f>
        <v>0</v>
      </c>
      <c r="AD5" s="7">
        <f>T5+V5</f>
        <v>0</v>
      </c>
      <c r="AE5" s="7">
        <f>B5-D5-E5-G5-H5-O5-R5</f>
        <v>2109020</v>
      </c>
      <c r="AF5" s="7">
        <f>AE5-I5</f>
        <v>2087420</v>
      </c>
      <c r="AG5" s="7">
        <f>V5+W5</f>
        <v>0</v>
      </c>
      <c r="AH5" s="9">
        <f>AF5+AG5</f>
        <v>2087420</v>
      </c>
      <c r="AI5" s="5" t="s">
        <v>88</v>
      </c>
    </row>
    <row r="6" ht="24" spans="1:35">
      <c r="A6" s="4" t="s">
        <v>89</v>
      </c>
      <c r="B6" s="7">
        <f>参数假设!$B$5</f>
        <v>3000000</v>
      </c>
      <c r="C6" s="7">
        <f>参数假设!$B$18</f>
        <v>90000</v>
      </c>
      <c r="D6" s="7">
        <f>C6/(1+参数假设!$B$19)*参数假设!$B$19</f>
        <v>891.089108910891</v>
      </c>
      <c r="E6" s="7">
        <f>D6*参数假设!$B$20</f>
        <v>53.4653465346535</v>
      </c>
      <c r="F6" s="7">
        <f>B6-D6</f>
        <v>2999108.91089109</v>
      </c>
      <c r="G6" s="7">
        <f>参数假设!$B$9</f>
        <v>21400</v>
      </c>
      <c r="H6" s="7">
        <f>参数假设!$B$7</f>
        <v>12000</v>
      </c>
      <c r="I6" s="7">
        <f>参数假设!$B$8</f>
        <v>21600</v>
      </c>
      <c r="J6" s="7">
        <f>参数假设!$B$13</f>
        <v>60000</v>
      </c>
      <c r="K6" s="7">
        <f>参数假设!$B$15</f>
        <v>12000</v>
      </c>
      <c r="L6" s="7">
        <f>参数假设!$B$14</f>
        <v>18000</v>
      </c>
      <c r="M6" s="7">
        <f>0</f>
        <v>0</v>
      </c>
      <c r="N6" s="7">
        <f>MAX(0,F6-G6-E6-J6-K6-L6)</f>
        <v>2887655.44554455</v>
      </c>
      <c r="O6" s="7">
        <f>IF(M6&lt;=0,0,IF(M6&lt;=36000,M6*0.03,IF(M6&lt;=144000,M6*0.1-2520,IF(M6&lt;=300000,M6*0.2-16920,IF(M6&lt;=420000,M6*0.25-31920,IF(M6&lt;=660000,M6*0.3-52920,IF(M6&lt;=960000,M6*0.35-85920,M6*0.45-181920)))))))</f>
        <v>0</v>
      </c>
      <c r="P6" s="7">
        <f>IF(N6&lt;=0,0,IF(N6&lt;=30000,N6*0.05,IF(N6&lt;=90000,N6*0.1-1500,IF(N6&lt;=300000,N6*0.2-10500,IF(N6&lt;=500000,N6*0.3-40500,N6*0.35-65500)))))</f>
        <v>945179.405940594</v>
      </c>
      <c r="Q6" s="7">
        <f>IF(N6&lt;=2000000,P6*0.5,(2000000*0.35-65500)*0.5)</f>
        <v>317250</v>
      </c>
      <c r="R6" s="7">
        <f>P6-Q6</f>
        <v>627929.405940594</v>
      </c>
      <c r="S6" s="7">
        <f t="shared" ref="S6:AA6" si="1">0</f>
        <v>0</v>
      </c>
      <c r="T6" s="7">
        <f t="shared" si="1"/>
        <v>0</v>
      </c>
      <c r="U6" s="7">
        <f t="shared" si="1"/>
        <v>0</v>
      </c>
      <c r="V6" s="7">
        <f t="shared" si="1"/>
        <v>0</v>
      </c>
      <c r="W6" s="7">
        <f t="shared" si="1"/>
        <v>0</v>
      </c>
      <c r="X6" s="7">
        <f t="shared" si="1"/>
        <v>0</v>
      </c>
      <c r="Y6" s="7">
        <f t="shared" si="1"/>
        <v>0</v>
      </c>
      <c r="Z6" s="7">
        <f t="shared" si="1"/>
        <v>0</v>
      </c>
      <c r="AA6" s="7">
        <f t="shared" si="1"/>
        <v>0</v>
      </c>
      <c r="AB6" s="7">
        <f>O6+R6+Y6+AA6</f>
        <v>627929.405940594</v>
      </c>
      <c r="AC6" s="7">
        <f>D6+E6</f>
        <v>944.554455445545</v>
      </c>
      <c r="AD6" s="7">
        <f>T6+V6</f>
        <v>0</v>
      </c>
      <c r="AE6" s="7">
        <f>B6-D6-E6-G6-H6-O6-R6</f>
        <v>2337726.03960396</v>
      </c>
      <c r="AF6" s="7">
        <f>AE6-I6</f>
        <v>2316126.03960396</v>
      </c>
      <c r="AG6" s="7">
        <f>V6+W6</f>
        <v>0</v>
      </c>
      <c r="AH6" s="9">
        <f>AF6+AG6</f>
        <v>2316126.03960396</v>
      </c>
      <c r="AI6" s="5" t="s">
        <v>90</v>
      </c>
    </row>
    <row r="7" ht="27" customHeight="1" spans="1:35">
      <c r="A7" s="4" t="s">
        <v>91</v>
      </c>
      <c r="B7" s="7">
        <f>参数假设!$B$5</f>
        <v>3000000</v>
      </c>
      <c r="C7" s="7">
        <f>参数假设!$B$18</f>
        <v>90000</v>
      </c>
      <c r="D7" s="7">
        <f>C7/(1+参数假设!$B$19)*参数假设!$B$19</f>
        <v>891.089108910891</v>
      </c>
      <c r="E7" s="7">
        <f>D7*参数假设!$B$20</f>
        <v>53.4653465346535</v>
      </c>
      <c r="F7" s="7">
        <f>B7-D7</f>
        <v>2999108.91089109</v>
      </c>
      <c r="G7" s="7">
        <f>参数假设!$B$9</f>
        <v>21400</v>
      </c>
      <c r="H7" s="7">
        <f>参数假设!$B$7</f>
        <v>12000</v>
      </c>
      <c r="I7" s="7">
        <f>参数假设!$B$8</f>
        <v>21600</v>
      </c>
      <c r="J7" s="7">
        <f>参数假设!$B$13</f>
        <v>60000</v>
      </c>
      <c r="K7" s="7">
        <f>参数假设!$B$15</f>
        <v>12000</v>
      </c>
      <c r="L7" s="7">
        <f>参数假设!$B$14</f>
        <v>18000</v>
      </c>
      <c r="M7" s="7">
        <f>0</f>
        <v>0</v>
      </c>
      <c r="N7" s="7">
        <f>MAX(0,F7-G7-E7-J7-K7-L7)</f>
        <v>2887655.44554455</v>
      </c>
      <c r="O7" s="7">
        <f>IF(M7&lt;=0,0,IF(M7&lt;=36000,M7*0.03,IF(M7&lt;=144000,M7*0.1-2520,IF(M7&lt;=300000,M7*0.2-16920,IF(M7&lt;=420000,M7*0.25-31920,IF(M7&lt;=660000,M7*0.3-52920,IF(M7&lt;=960000,M7*0.35-85920,M7*0.45-181920)))))))</f>
        <v>0</v>
      </c>
      <c r="P7" s="7">
        <f>IF(N7&lt;=0,0,IF(N7&lt;=30000,N7*0.05,IF(N7&lt;=90000,N7*0.1-1500,IF(N7&lt;=300000,N7*0.2-10500,IF(N7&lt;=500000,N7*0.3-40500,N7*0.35-65500)))))</f>
        <v>945179.405940594</v>
      </c>
      <c r="Q7" s="7">
        <f>0</f>
        <v>0</v>
      </c>
      <c r="R7" s="7">
        <f>P7-Q7</f>
        <v>945179.405940594</v>
      </c>
      <c r="S7" s="7">
        <f t="shared" ref="S7:AA7" si="2">0</f>
        <v>0</v>
      </c>
      <c r="T7" s="7">
        <f t="shared" si="2"/>
        <v>0</v>
      </c>
      <c r="U7" s="7">
        <f t="shared" si="2"/>
        <v>0</v>
      </c>
      <c r="V7" s="7">
        <f t="shared" si="2"/>
        <v>0</v>
      </c>
      <c r="W7" s="7">
        <f t="shared" si="2"/>
        <v>0</v>
      </c>
      <c r="X7" s="7">
        <f t="shared" si="2"/>
        <v>0</v>
      </c>
      <c r="Y7" s="7">
        <f t="shared" si="2"/>
        <v>0</v>
      </c>
      <c r="Z7" s="7">
        <f t="shared" si="2"/>
        <v>0</v>
      </c>
      <c r="AA7" s="7">
        <f t="shared" si="2"/>
        <v>0</v>
      </c>
      <c r="AB7" s="7">
        <f>O7+R7+Y7+AA7</f>
        <v>945179.405940594</v>
      </c>
      <c r="AC7" s="7">
        <f>D7+E7</f>
        <v>944.554455445545</v>
      </c>
      <c r="AD7" s="7">
        <f>T7+V7</f>
        <v>0</v>
      </c>
      <c r="AE7" s="7">
        <f>B7-D7-E7-G7-H7-O7-R7</f>
        <v>2020476.03960396</v>
      </c>
      <c r="AF7" s="7">
        <f>AE7-I7</f>
        <v>1998876.03960396</v>
      </c>
      <c r="AG7" s="7">
        <f>V7+W7</f>
        <v>0</v>
      </c>
      <c r="AH7" s="9">
        <f>AF7+AG7</f>
        <v>1998876.03960396</v>
      </c>
      <c r="AI7" s="5" t="s">
        <v>92</v>
      </c>
    </row>
    <row r="8" ht="24" spans="1:35">
      <c r="A8" s="4" t="s">
        <v>93</v>
      </c>
      <c r="B8" s="7">
        <f>参数假设!$B$5</f>
        <v>3000000</v>
      </c>
      <c r="C8" s="7">
        <f>参数假设!$B$18</f>
        <v>90000</v>
      </c>
      <c r="D8" s="7">
        <f>C8/(1+参数假设!$B$19)*参数假设!$B$19</f>
        <v>891.089108910891</v>
      </c>
      <c r="E8" s="7">
        <f>D8*参数假设!$B$20</f>
        <v>53.4653465346535</v>
      </c>
      <c r="F8" s="7">
        <f>B8-D8</f>
        <v>2999108.91089109</v>
      </c>
      <c r="G8" s="7">
        <f>参数假设!$B$27</f>
        <v>55000</v>
      </c>
      <c r="H8" s="7">
        <f>0</f>
        <v>0</v>
      </c>
      <c r="I8" s="7">
        <f>参数假设!$B$8</f>
        <v>21600</v>
      </c>
      <c r="J8" s="7">
        <f>参数假设!$B$13</f>
        <v>60000</v>
      </c>
      <c r="K8" s="7">
        <f>参数假设!$B$15</f>
        <v>12000</v>
      </c>
      <c r="L8" s="7">
        <f>参数假设!$B$14</f>
        <v>18000</v>
      </c>
      <c r="M8" s="7">
        <f>MAX(0,S8*12-J8-U8-W8-L8)</f>
        <v>0</v>
      </c>
      <c r="N8" s="7">
        <f>0</f>
        <v>0</v>
      </c>
      <c r="O8" s="7">
        <f>IF(M8&lt;=0,0,IF(M8&lt;=36000,M8*0.03,IF(M8&lt;=144000,M8*0.1-2520,IF(M8&lt;=300000,M8*0.2-16920,IF(M8&lt;=420000,M8*0.25-31920,IF(M8&lt;=660000,M8*0.3-52920,IF(M8&lt;=960000,M8*0.35-85920,M8*0.45-181920)))))))</f>
        <v>0</v>
      </c>
      <c r="P8" s="7">
        <f>IF(N8&lt;=0,0,IF(N8&lt;=30000,N8*0.05,IF(N8&lt;=90000,N8*0.1-1500,IF(N8&lt;=300000,N8*0.2-10500,IF(N8&lt;=500000,N8*0.3-40500,N8*0.35-65500)))))</f>
        <v>0</v>
      </c>
      <c r="Q8" s="7">
        <f>0</f>
        <v>0</v>
      </c>
      <c r="R8" s="7">
        <f>P8-Q8</f>
        <v>0</v>
      </c>
      <c r="S8" s="7">
        <f>参数假设!$B$28</f>
        <v>6045</v>
      </c>
      <c r="T8" s="7">
        <f>参数假设!$B$29*参数假设!$B$30*12</f>
        <v>12806.0256</v>
      </c>
      <c r="U8" s="7">
        <f>参数假设!$B$29*参数假设!$B$31*12</f>
        <v>5725.824</v>
      </c>
      <c r="V8" s="7">
        <f>参数假设!$B$28*参数假设!$B$32*12</f>
        <v>8704.8</v>
      </c>
      <c r="W8" s="7">
        <f>参数假设!$B$28*参数假设!$B$32*12</f>
        <v>8704.8</v>
      </c>
      <c r="X8" s="7">
        <f>F8-G8-S8*12-T8-V8-E8</f>
        <v>2850004.61994455</v>
      </c>
      <c r="Y8" s="7">
        <f>MAX(0,X8*参数假设!$B$33)</f>
        <v>142500.230997228</v>
      </c>
      <c r="Z8" s="7">
        <f>X8-Y8</f>
        <v>2707504.38894733</v>
      </c>
      <c r="AA8" s="7">
        <f>MAX(0,Z8*参数假设!$B$35*参数假设!$B$34)</f>
        <v>541500.877789465</v>
      </c>
      <c r="AB8" s="7">
        <f>O8+R8+Y8+AA8</f>
        <v>684001.108786693</v>
      </c>
      <c r="AC8" s="7">
        <f>D8+E8</f>
        <v>944.554455445545</v>
      </c>
      <c r="AD8" s="7">
        <f>T8+V8</f>
        <v>21510.8256</v>
      </c>
      <c r="AE8" s="7">
        <f>S8*12-U8-W8-O8+MAX(0,Z8*参数假设!$B$35-AA8)</f>
        <v>2224112.88715786</v>
      </c>
      <c r="AF8" s="7">
        <f>AE8-I8</f>
        <v>2202512.88715786</v>
      </c>
      <c r="AG8" s="7">
        <f>V8+W8</f>
        <v>17409.6</v>
      </c>
      <c r="AH8" s="9">
        <f>AF8+AG8</f>
        <v>2219922.48715786</v>
      </c>
      <c r="AI8" s="5" t="s">
        <v>94</v>
      </c>
    </row>
  </sheetData>
  <autoFilter xmlns:etc="http://www.wps.cn/officeDocument/2017/etCustomData" ref="A3:AI8" etc:filterBottomFollowUsedRange="0">
    <extLst/>
  </autoFilter>
  <mergeCells count="1">
    <mergeCell ref="A1:AI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workbookViewId="0">
      <pane ySplit="4" topLeftCell="A5" activePane="bottomLeft" state="frozen"/>
      <selection/>
      <selection pane="bottomLeft" activeCell="I28" sqref="I28"/>
    </sheetView>
  </sheetViews>
  <sheetFormatPr defaultColWidth="9" defaultRowHeight="14.4" outlineLevelRow="7"/>
  <cols>
    <col min="1" max="1" width="16.712962962963" customWidth="1"/>
    <col min="2" max="2" width="63.6666666666667" customWidth="1"/>
    <col min="3" max="11" width="15.712962962963" customWidth="1"/>
    <col min="12" max="12" width="34.712962962963" customWidth="1"/>
  </cols>
  <sheetData>
    <row r="1" ht="22.2" spans="1:12">
      <c r="A1" s="1" t="s">
        <v>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5" t="s">
        <v>96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4" spans="1:12">
      <c r="A4" s="2" t="s">
        <v>54</v>
      </c>
      <c r="B4" s="2" t="s">
        <v>97</v>
      </c>
      <c r="C4" s="2" t="s">
        <v>98</v>
      </c>
      <c r="D4" s="2" t="s">
        <v>80</v>
      </c>
      <c r="E4" s="2" t="s">
        <v>99</v>
      </c>
      <c r="F4" s="2" t="s">
        <v>79</v>
      </c>
      <c r="G4" s="2" t="s">
        <v>100</v>
      </c>
      <c r="H4" s="2" t="s">
        <v>82</v>
      </c>
      <c r="I4" s="2" t="s">
        <v>101</v>
      </c>
      <c r="J4" s="2" t="s">
        <v>84</v>
      </c>
      <c r="K4" s="2" t="s">
        <v>102</v>
      </c>
      <c r="L4" s="2" t="s">
        <v>86</v>
      </c>
    </row>
    <row r="5" spans="1:12">
      <c r="A5" s="4" t="str">
        <f>计算明细!A5</f>
        <v>个人劳务收款</v>
      </c>
      <c r="B5" s="4" t="str">
        <f>计算明细!AI5</f>
        <v>按劳务报酬并入综合所得；个人业务成本不能按实际全额税前扣</v>
      </c>
      <c r="C5" s="7">
        <f>计算明细!B5</f>
        <v>3000000</v>
      </c>
      <c r="D5" s="7">
        <f>计算明细!AC5</f>
        <v>0</v>
      </c>
      <c r="E5" s="7">
        <f>计算明细!G5</f>
        <v>21400</v>
      </c>
      <c r="F5" s="7">
        <f>计算明细!AB5</f>
        <v>857580</v>
      </c>
      <c r="G5" s="7">
        <f>计算明细!AD5</f>
        <v>0</v>
      </c>
      <c r="H5" s="7">
        <f>计算明细!AE5</f>
        <v>2109020</v>
      </c>
      <c r="I5" s="9">
        <f>计算明细!AF5</f>
        <v>2087420</v>
      </c>
      <c r="J5" s="7">
        <f>计算明细!AG5</f>
        <v>0</v>
      </c>
      <c r="K5" s="9">
        <f>计算明细!AH5</f>
        <v>2087420</v>
      </c>
      <c r="L5" s="5" t="str">
        <f>计算明细!AI5</f>
        <v>按劳务报酬并入综合所得；个人业务成本不能按实际全额税前扣</v>
      </c>
    </row>
    <row r="6" spans="1:12">
      <c r="A6" s="4" t="str">
        <f>计算明细!A6</f>
        <v>个体工商户</v>
      </c>
      <c r="B6" s="4" t="str">
        <f>计算明细!AI6</f>
        <v>按经营所得；200 万以内部分按个体户优惠减半示例</v>
      </c>
      <c r="C6" s="7">
        <f>计算明细!B6</f>
        <v>3000000</v>
      </c>
      <c r="D6" s="7">
        <f>计算明细!AC6</f>
        <v>944.554455445545</v>
      </c>
      <c r="E6" s="7">
        <f>计算明细!G6</f>
        <v>21400</v>
      </c>
      <c r="F6" s="7">
        <f>计算明细!AB6</f>
        <v>627929.405940594</v>
      </c>
      <c r="G6" s="7">
        <f>计算明细!AD6</f>
        <v>0</v>
      </c>
      <c r="H6" s="7">
        <f>计算明细!AE6</f>
        <v>2337726.03960396</v>
      </c>
      <c r="I6" s="9">
        <f>计算明细!AF6</f>
        <v>2316126.03960396</v>
      </c>
      <c r="J6" s="7">
        <f>计算明细!AG6</f>
        <v>0</v>
      </c>
      <c r="K6" s="9">
        <f>计算明细!AH6</f>
        <v>2316126.03960396</v>
      </c>
      <c r="L6" s="5" t="str">
        <f>计算明细!AI6</f>
        <v>按经营所得；200 万以内部分按个体户优惠减半示例</v>
      </c>
    </row>
    <row r="7" spans="1:12">
      <c r="A7" s="4" t="str">
        <f>计算明细!A7</f>
        <v>个人独资企业</v>
      </c>
      <c r="B7" s="4" t="str">
        <f>计算明细!AI7</f>
        <v>按经营所得；未套用个体户减半优惠</v>
      </c>
      <c r="C7" s="7">
        <f>计算明细!B7</f>
        <v>3000000</v>
      </c>
      <c r="D7" s="7">
        <f>计算明细!AC7</f>
        <v>944.554455445545</v>
      </c>
      <c r="E7" s="7">
        <f>计算明细!G7</f>
        <v>21400</v>
      </c>
      <c r="F7" s="7">
        <f>计算明细!AB7</f>
        <v>945179.405940594</v>
      </c>
      <c r="G7" s="7">
        <f>计算明细!AD7</f>
        <v>0</v>
      </c>
      <c r="H7" s="7">
        <f>计算明细!AE7</f>
        <v>2020476.03960396</v>
      </c>
      <c r="I7" s="9">
        <f>计算明细!AF7</f>
        <v>1998876.03960396</v>
      </c>
      <c r="J7" s="7">
        <f>计算明细!AG7</f>
        <v>0</v>
      </c>
      <c r="K7" s="9">
        <f>计算明细!AH7</f>
        <v>1998876.03960396</v>
      </c>
      <c r="L7" s="5" t="str">
        <f>计算明细!AI7</f>
        <v>按经营所得；未套用个体户减半优惠</v>
      </c>
    </row>
    <row r="8" spans="1:12">
      <c r="A8" s="4" t="str">
        <f>计算明细!A8</f>
        <v>一人有限公司</v>
      </c>
      <c r="B8" s="4" t="str">
        <f>计算明细!AI8</f>
        <v>独立公司化模型：工资 + 社保公积金 + 企业所得税 + 分红</v>
      </c>
      <c r="C8" s="7">
        <f>计算明细!B8</f>
        <v>3000000</v>
      </c>
      <c r="D8" s="7">
        <f>计算明细!AC8</f>
        <v>944.554455445545</v>
      </c>
      <c r="E8" s="7">
        <f>计算明细!G8</f>
        <v>55000</v>
      </c>
      <c r="F8" s="7">
        <f>计算明细!AB8</f>
        <v>684001.108786693</v>
      </c>
      <c r="G8" s="7">
        <f>计算明细!AD8</f>
        <v>21510.8256</v>
      </c>
      <c r="H8" s="7">
        <f>计算明细!AE8</f>
        <v>2224112.88715786</v>
      </c>
      <c r="I8" s="9">
        <f>计算明细!AF8</f>
        <v>2202512.88715786</v>
      </c>
      <c r="J8" s="7">
        <f>计算明细!AG8</f>
        <v>17409.6</v>
      </c>
      <c r="K8" s="9">
        <f>计算明细!AH8</f>
        <v>2219922.48715786</v>
      </c>
      <c r="L8" s="5" t="str">
        <f>计算明细!AI8</f>
        <v>独立公司化模型：工资 + 社保公积金 + 企业所得税 + 分红</v>
      </c>
    </row>
  </sheetData>
  <autoFilter xmlns:etc="http://www.wps.cn/officeDocument/2017/etCustomData" ref="A4:L8" etc:filterBottomFollowUsedRange="0">
    <extLst/>
  </autoFilter>
  <mergeCells count="2">
    <mergeCell ref="A1:L1"/>
    <mergeCell ref="A2:L2"/>
  </mergeCells>
  <conditionalFormatting sqref="I5:I8">
    <cfRule type="colorScale" priority="1">
      <colorScale>
        <cfvo type="min"/>
        <cfvo type="percentile" val="50"/>
        <cfvo type="max"/>
        <color rgb="FFFFF0F0"/>
        <color rgb="FFFFF6E5"/>
        <color rgb="FFE8F7EF"/>
      </colorScale>
    </cfRule>
  </conditionalFormatting>
  <conditionalFormatting sqref="K5:K8">
    <cfRule type="colorScale" priority="2">
      <colorScale>
        <cfvo type="min"/>
        <cfvo type="percentile" val="50"/>
        <cfvo type="max"/>
        <color rgb="FFFFF0F0"/>
        <color rgb="FFFFF6E5"/>
        <color rgb="FFE8F7EF"/>
      </colorScale>
    </cfRule>
  </conditionalFormatting>
  <pageMargins left="0.7" right="0.7" top="0.75" bottom="0.75" header="0.3" footer="0.3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"/>
  <sheetViews>
    <sheetView workbookViewId="0">
      <pane ySplit="3" topLeftCell="A4" activePane="bottomLeft" state="frozen"/>
      <selection/>
      <selection pane="bottomLeft" activeCell="A44" sqref="A44"/>
    </sheetView>
  </sheetViews>
  <sheetFormatPr defaultColWidth="9" defaultRowHeight="14.4" outlineLevelCol="2"/>
  <cols>
    <col min="1" max="1" width="34.712962962963" customWidth="1"/>
    <col min="2" max="2" width="18.712962962963" customWidth="1"/>
    <col min="3" max="3" width="58.712962962963" customWidth="1"/>
  </cols>
  <sheetData>
    <row r="1" ht="22.2" spans="1:3">
      <c r="A1" s="1" t="s">
        <v>103</v>
      </c>
      <c r="B1" s="1"/>
      <c r="C1" s="1"/>
    </row>
    <row r="3" ht="15.6" spans="1:3">
      <c r="A3" s="6" t="s">
        <v>104</v>
      </c>
    </row>
    <row r="4" spans="1:3">
      <c r="A4" s="3" t="s">
        <v>5</v>
      </c>
      <c r="B4" s="7">
        <f>参数假设!$B$5</f>
        <v>3000000</v>
      </c>
      <c r="C4" s="5" t="s">
        <v>105</v>
      </c>
    </row>
    <row r="5" spans="1:3">
      <c r="A5" s="3" t="s">
        <v>106</v>
      </c>
      <c r="B5" s="7">
        <f>参数假设!$B$18</f>
        <v>90000</v>
      </c>
      <c r="C5" s="5" t="s">
        <v>107</v>
      </c>
    </row>
    <row r="6" spans="1:3">
      <c r="A6" s="3" t="s">
        <v>108</v>
      </c>
      <c r="B6" s="7">
        <f>参数假设!$B$27</f>
        <v>55000</v>
      </c>
      <c r="C6" s="5" t="s">
        <v>109</v>
      </c>
    </row>
    <row r="7" spans="1:3">
      <c r="A7" s="3" t="s">
        <v>38</v>
      </c>
      <c r="B7" s="7">
        <f>参数假设!$B$28</f>
        <v>6045</v>
      </c>
      <c r="C7" s="5" t="s">
        <v>110</v>
      </c>
    </row>
    <row r="8" spans="1:3">
      <c r="A8" s="3" t="s">
        <v>40</v>
      </c>
      <c r="B8" s="7">
        <f>参数假设!$B$29</f>
        <v>4588</v>
      </c>
      <c r="C8" s="5" t="s">
        <v>111</v>
      </c>
    </row>
    <row r="9" spans="1:3">
      <c r="A9" s="3" t="s">
        <v>112</v>
      </c>
      <c r="B9" s="8">
        <f>参数假设!$B$32</f>
        <v>0.12</v>
      </c>
      <c r="C9" s="5" t="s">
        <v>113</v>
      </c>
    </row>
    <row r="10" spans="1:3">
      <c r="A10" s="3" t="s">
        <v>51</v>
      </c>
      <c r="B10" s="8">
        <f>参数假设!$B$35</f>
        <v>1</v>
      </c>
      <c r="C10" s="5" t="s">
        <v>114</v>
      </c>
    </row>
    <row r="12" ht="15.6" spans="1:3">
      <c r="A12" s="6" t="s">
        <v>115</v>
      </c>
    </row>
    <row r="13" spans="1:3">
      <c r="A13" s="3" t="s">
        <v>31</v>
      </c>
      <c r="B13" s="7">
        <f>参数假设!$B$21</f>
        <v>89108.9108910891</v>
      </c>
      <c r="C13" s="5" t="s">
        <v>116</v>
      </c>
    </row>
    <row r="14" spans="1:3">
      <c r="A14" s="3" t="s">
        <v>32</v>
      </c>
      <c r="B14" s="7">
        <f>参数假设!$B$22</f>
        <v>891.089108910891</v>
      </c>
      <c r="C14" s="5" t="s">
        <v>117</v>
      </c>
    </row>
    <row r="15" spans="1:3">
      <c r="A15" s="3" t="s">
        <v>33</v>
      </c>
      <c r="B15" s="7">
        <f>参数假设!$B$23</f>
        <v>53.4653465346535</v>
      </c>
      <c r="C15" s="5" t="s">
        <v>118</v>
      </c>
    </row>
    <row r="16" spans="1:3">
      <c r="A16" s="3" t="s">
        <v>119</v>
      </c>
      <c r="B16" s="7">
        <f>计算明细!$T$8</f>
        <v>12806.0256</v>
      </c>
      <c r="C16" s="5" t="s">
        <v>120</v>
      </c>
    </row>
    <row r="17" spans="1:3">
      <c r="A17" s="3" t="s">
        <v>121</v>
      </c>
      <c r="B17" s="7">
        <f>计算明细!$U$8</f>
        <v>5725.824</v>
      </c>
      <c r="C17" s="5" t="s">
        <v>122</v>
      </c>
    </row>
    <row r="18" spans="1:3">
      <c r="A18" s="3" t="s">
        <v>123</v>
      </c>
      <c r="B18" s="7">
        <f>计算明细!$V$8</f>
        <v>8704.8</v>
      </c>
      <c r="C18" s="5" t="s">
        <v>120</v>
      </c>
    </row>
    <row r="19" spans="1:3">
      <c r="A19" s="3" t="s">
        <v>124</v>
      </c>
      <c r="B19" s="7">
        <f>计算明细!$W$8</f>
        <v>8704.8</v>
      </c>
      <c r="C19" s="5" t="s">
        <v>122</v>
      </c>
    </row>
    <row r="20" spans="1:3">
      <c r="A20" s="3" t="s">
        <v>75</v>
      </c>
      <c r="B20" s="7">
        <f>计算明细!$X$8</f>
        <v>2850004.61994455</v>
      </c>
      <c r="C20" s="5" t="s">
        <v>125</v>
      </c>
    </row>
    <row r="21" spans="1:3">
      <c r="A21" s="3" t="s">
        <v>76</v>
      </c>
      <c r="B21" s="7">
        <f>计算明细!$Y$8</f>
        <v>142500.230997228</v>
      </c>
      <c r="C21" s="5" t="s">
        <v>126</v>
      </c>
    </row>
    <row r="22" spans="1:3">
      <c r="A22" s="3" t="s">
        <v>77</v>
      </c>
      <c r="B22" s="7">
        <f>计算明细!$Z$8</f>
        <v>2707504.38894733</v>
      </c>
      <c r="C22" s="5" t="s">
        <v>127</v>
      </c>
    </row>
    <row r="23" spans="1:3">
      <c r="A23" s="3" t="s">
        <v>78</v>
      </c>
      <c r="B23" s="7">
        <f>计算明细!$AA$8</f>
        <v>541500.877789465</v>
      </c>
      <c r="C23" s="5" t="s">
        <v>128</v>
      </c>
    </row>
    <row r="24" spans="1:3">
      <c r="A24" s="3" t="s">
        <v>129</v>
      </c>
      <c r="B24" s="7">
        <f>计算明细!$M$8</f>
        <v>0</v>
      </c>
      <c r="C24" s="5" t="s">
        <v>130</v>
      </c>
    </row>
    <row r="25" spans="1:3">
      <c r="A25" s="3" t="s">
        <v>131</v>
      </c>
      <c r="B25" s="7">
        <f>计算明细!$O$8</f>
        <v>0</v>
      </c>
      <c r="C25" s="5" t="s">
        <v>132</v>
      </c>
    </row>
    <row r="26" spans="1:3">
      <c r="A26" s="3" t="s">
        <v>133</v>
      </c>
      <c r="B26" s="7">
        <f>计算明细!$S$8*12-计算明细!$U$8-计算明细!$W$8-计算明细!$O$8</f>
        <v>58109.376</v>
      </c>
      <c r="C26" s="5" t="s">
        <v>134</v>
      </c>
    </row>
    <row r="27" spans="1:3">
      <c r="A27" s="3" t="s">
        <v>135</v>
      </c>
      <c r="B27" s="7">
        <f>MAX(0,计算明细!$Z$8*参数假设!$B$35-计算明细!$AA$8)</f>
        <v>2166003.51115786</v>
      </c>
      <c r="C27" s="5" t="s">
        <v>136</v>
      </c>
    </row>
    <row r="28" spans="1:3">
      <c r="A28" s="3" t="s">
        <v>137</v>
      </c>
      <c r="B28" s="7">
        <f>计算明细!$AE$8</f>
        <v>2224112.88715786</v>
      </c>
      <c r="C28" s="5" t="s">
        <v>138</v>
      </c>
    </row>
    <row r="29" spans="1:3">
      <c r="A29" s="3" t="s">
        <v>83</v>
      </c>
      <c r="B29" s="7">
        <f>计算明细!$AF$8</f>
        <v>2202512.88715786</v>
      </c>
      <c r="C29" s="5" t="s">
        <v>139</v>
      </c>
    </row>
    <row r="30" spans="1:3">
      <c r="A30" s="3" t="s">
        <v>84</v>
      </c>
      <c r="B30" s="7">
        <f>计算明细!$AG$8</f>
        <v>17409.6</v>
      </c>
      <c r="C30" s="5" t="s">
        <v>140</v>
      </c>
    </row>
    <row r="31" spans="1:3">
      <c r="A31" s="3" t="s">
        <v>85</v>
      </c>
      <c r="B31" s="7">
        <f>计算明细!$AH$8</f>
        <v>2219922.48715786</v>
      </c>
      <c r="C31" s="5" t="s">
        <v>141</v>
      </c>
    </row>
    <row r="32" spans="1:3">
      <c r="A32" s="3" t="s">
        <v>142</v>
      </c>
      <c r="B32" s="7">
        <f>MAX(0,ROUNDDOWN((参数假设!$B$5-参数假设!$B$22-参数假设!$B$23-参数假设!$B$27-计算明细!$T$8)/(12*(1+参数假设!$B$32)),0))</f>
        <v>218098</v>
      </c>
      <c r="C32" s="5" t="s">
        <v>143</v>
      </c>
    </row>
    <row r="33" spans="1:3">
      <c r="A33" s="3" t="s">
        <v>144</v>
      </c>
      <c r="B33" s="4" t="str">
        <f>IF(B7&lt;=B32,"通过","目标工资过高，可能造成公司亏损")</f>
        <v>通过</v>
      </c>
      <c r="C33" s="5" t="s">
        <v>145</v>
      </c>
    </row>
  </sheetData>
  <mergeCells count="1">
    <mergeCell ref="A1:C1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workbookViewId="0">
      <pane ySplit="3" topLeftCell="A4" activePane="bottomLeft" state="frozen"/>
      <selection/>
      <selection pane="bottomLeft" activeCell="C10" sqref="C10"/>
    </sheetView>
  </sheetViews>
  <sheetFormatPr defaultColWidth="9" defaultRowHeight="14.4" outlineLevelCol="3"/>
  <cols>
    <col min="1" max="1" width="30.712962962963" customWidth="1"/>
    <col min="2" max="2" width="16.712962962963" customWidth="1"/>
    <col min="3" max="3" width="52.712962962963" customWidth="1"/>
    <col min="4" max="4" width="48.712962962963" customWidth="1"/>
  </cols>
  <sheetData>
    <row r="1" ht="22.2" spans="1:4">
      <c r="A1" s="1" t="s">
        <v>146</v>
      </c>
      <c r="B1" s="1"/>
      <c r="C1" s="1"/>
      <c r="D1" s="1"/>
    </row>
    <row r="3" spans="1:4">
      <c r="A3" s="2" t="s">
        <v>147</v>
      </c>
      <c r="B3" s="2" t="s">
        <v>148</v>
      </c>
      <c r="C3" s="2" t="s">
        <v>149</v>
      </c>
      <c r="D3" s="2" t="s">
        <v>150</v>
      </c>
    </row>
    <row r="4" spans="1:4">
      <c r="A4" s="3" t="s">
        <v>151</v>
      </c>
      <c r="B4" s="4" t="str">
        <f>IF(参数假设!$B$9=参数假设!$B$6,"未拆分","已拆分")</f>
        <v>已拆分</v>
      </c>
      <c r="C4" s="4" t="str">
        <f>"原表总支出="&amp;TEXT(参数假设!$B$6,"#,##0")&amp;"，推导经营成本="&amp;TEXT(参数假设!$B$9,"#,##0")</f>
        <v>原表总支出=55,000，推导经营成本=21,400</v>
      </c>
      <c r="D4" s="5" t="s">
        <v>152</v>
      </c>
    </row>
    <row r="5" spans="1:4">
      <c r="A5" s="3" t="s">
        <v>153</v>
      </c>
      <c r="B5" s="4" t="str">
        <f>IF(参数假设!$B$27=参数假设!$B$9,"同口径","独立模型")</f>
        <v>独立模型</v>
      </c>
      <c r="C5" s="4" t="str">
        <f>"一人公司成本="&amp;TEXT(参数假设!$B$27,"#,##0")&amp;"，主对比经营成本="&amp;TEXT(参数假设!$B$9,"#,##0")</f>
        <v>一人公司成本=55,000，主对比经营成本=21,400</v>
      </c>
      <c r="D5" s="5" t="s">
        <v>154</v>
      </c>
    </row>
    <row r="6" spans="1:4">
      <c r="A6" s="3" t="s">
        <v>155</v>
      </c>
      <c r="B6" s="4" t="str">
        <f>IF(参数假设!$B$18&lt;=参数假设!$B$5,"通过","需检查")</f>
        <v>通过</v>
      </c>
      <c r="C6" s="4" t="str">
        <f>"专票收入="&amp;TEXT(参数假设!$B$18,"#,##0")&amp;"，年收入="&amp;TEXT(参数假设!$B$5,"#,##0")</f>
        <v>专票收入=90,000，年收入=3,000,000</v>
      </c>
      <c r="D6" s="5" t="s">
        <v>156</v>
      </c>
    </row>
    <row r="7" ht="24" spans="1:4">
      <c r="A7" s="3" t="s">
        <v>157</v>
      </c>
      <c r="B7" s="4" t="str">
        <f>IF(参数假设!$B$12="是","已占用","未占用")</f>
        <v>未占用</v>
      </c>
      <c r="C7" s="4" t="str">
        <f>"可用基本扣除="&amp;TEXT(参数假设!$B$13,"#,##0")&amp;"，可用租房扣除="&amp;TEXT(参数假设!$B$14,"#,##0")</f>
        <v>可用基本扣除=60,000，可用租房扣除=18,000</v>
      </c>
      <c r="D7" s="5" t="s">
        <v>158</v>
      </c>
    </row>
    <row r="8" ht="24" spans="1:4">
      <c r="A8" s="3" t="s">
        <v>75</v>
      </c>
      <c r="B8" s="4" t="str">
        <f>IF(计算明细!$X$8&lt;0,"需检查","通过")</f>
        <v>通过</v>
      </c>
      <c r="C8" s="4" t="str">
        <f>"公司税前利润="&amp;TEXT(计算明细!$X$8,"#,##0.00")</f>
        <v>公司税前利润=2,850,004.62</v>
      </c>
      <c r="D8" s="5" t="s">
        <v>159</v>
      </c>
    </row>
    <row r="9" ht="24" spans="1:4">
      <c r="A9" s="3" t="s">
        <v>160</v>
      </c>
      <c r="B9" s="4" t="str">
        <f>IF(参数假设!$B$28&lt;='一人公司测算（公司化方案）'!$B$32,"通过","需检查")</f>
        <v>通过</v>
      </c>
      <c r="C9" s="4" t="str">
        <f>"目标月工资="&amp;TEXT(参数假设!$B$28,"#,##0")&amp;"，最高发薪上限="&amp;TEXT('一人公司测算（公司化方案）'!$B$32,"#,##0")</f>
        <v>目标月工资=6,045，最高发薪上限=218,098</v>
      </c>
      <c r="D9" s="5" t="s">
        <v>161</v>
      </c>
    </row>
    <row r="10" spans="1:4">
      <c r="A10" s="3" t="s">
        <v>162</v>
      </c>
      <c r="B10" s="4" t="str">
        <f>IF(计算明细!$Y$8&gt;=0,"已修正","需检查")</f>
        <v>已修正</v>
      </c>
      <c r="C10" s="4" t="str">
        <f>"企业所得税="&amp;TEXT(计算明细!$Y$8,"#,##0.00")</f>
        <v>企业所得税=142,500.23</v>
      </c>
      <c r="D10" s="5" t="s">
        <v>163</v>
      </c>
    </row>
    <row r="11" spans="1:4">
      <c r="A11" s="3" t="s">
        <v>164</v>
      </c>
      <c r="B11" s="4" t="str">
        <f>IF(计算明细!$AA$8&gt;=0,"已修正","需检查")</f>
        <v>已修正</v>
      </c>
      <c r="C11" s="4" t="str">
        <f>"分红个税="&amp;TEXT(计算明细!$AA$8,"#,##0.00")</f>
        <v>分红个税=541,500.88</v>
      </c>
      <c r="D11" s="5" t="s">
        <v>165</v>
      </c>
    </row>
  </sheetData>
  <mergeCells count="1">
    <mergeCell ref="A1:D1"/>
  </mergeCells>
  <conditionalFormatting sqref="B4:B11">
    <cfRule type="containsText" dxfId="0" priority="1" operator="between" text="通过">
      <formula>NOT(ISERROR(SEARCH("通过",B4)))</formula>
    </cfRule>
    <cfRule type="containsText" dxfId="0" priority="2" operator="between" text="已修正">
      <formula>NOT(ISERROR(SEARCH("已修正",B4)))</formula>
    </cfRule>
    <cfRule type="containsText" dxfId="1" priority="3" operator="between" text="需检查">
      <formula>NOT(ISERROR(SEARCH("需检查",B4)))</formula>
    </cfRule>
    <cfRule type="containsText" dxfId="1" priority="4" operator="between" text="独立模型">
      <formula>NOT(ISERROR(SEARCH("独立模型",B4)))</formula>
    </cfRule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参数假设</vt:lpstr>
      <vt:lpstr>计算明细</vt:lpstr>
      <vt:lpstr>主体横向对比</vt:lpstr>
      <vt:lpstr>一人公司测算（公司化方案）</vt:lpstr>
      <vt:lpstr>逻辑校验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到手金额测算逻辑改版</dc:title>
  <dc:subject>收入主体选择测算</dc:subject>
  <dc:creator>Codex</dc:creator>
  <dc:description>基于原工作簿重构口径、公式和逻辑校验。</dc:description>
  <cp:lastModifiedBy>ELISA</cp:lastModifiedBy>
  <dcterms:created xsi:type="dcterms:W3CDTF">2026-06-07T03:45:00Z</dcterms:created>
  <dcterms:modified xsi:type="dcterms:W3CDTF">2026-06-10T13:42:32Z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7BD116D29FB046409ACC739BB4E66D41_12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